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ink/ink1.xml" ContentType="application/inkml+xml"/>
  <Override PartName="/xl/ink/ink2.xml" ContentType="application/inkml+xml"/>
  <Override PartName="/xl/drawings/drawing3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niroma2-my.sharepoint.com/personal/ugo_pomante_uniroma2_eu/Documents/Desktop/YourSync/Cartelle/BACK-UP 10 DICEMBRE 2007/Ugo/TV/corso VaR/2025/"/>
    </mc:Choice>
  </mc:AlternateContent>
  <xr:revisionPtr revIDLastSave="511" documentId="11_0F5B6B169E718B03DBAB0F1CD70DCC8F0BBCF547" xr6:coauthVersionLast="47" xr6:coauthVersionMax="47" xr10:uidLastSave="{AA828F21-FFEC-48D7-9E79-09880DB0ACF5}"/>
  <bookViews>
    <workbookView xWindow="-110" yWindow="-110" windowWidth="19420" windowHeight="10420" activeTab="3" xr2:uid="{00000000-000D-0000-FFFF-FFFF00000000}"/>
  </bookViews>
  <sheets>
    <sheet name="Calcolo Duration" sheetId="3" r:id="rId1"/>
    <sheet name="MAGATst + DG" sheetId="1" r:id="rId2"/>
    <sheet name="Pricing Bond" sheetId="5" r:id="rId3"/>
    <sheet name="Clumping" sheetId="6" r:id="rId4"/>
  </sheets>
  <definedNames>
    <definedName name="TRNR_049a1bb392a24eda9d7e6c862dc4e970_3380_3" hidden="1">#REF!</definedName>
    <definedName name="TRNR_3390afc0fbb14ae087ab2bbecbbc8b95_3380_2" hidden="1">#REF!</definedName>
    <definedName name="TRNR_5d40c0391b724ba0ac942f1f3c17a0fd_3380_2" hidden="1">#REF!</definedName>
    <definedName name="TRNR_5dc62d7b339e4be6b18cd6256cc90e0e_3591_3" hidden="1">#REF!</definedName>
    <definedName name="TRNR_7126fd65d8f74f3ea741beb291bbcdb1_1_2" hidden="1">#REF!</definedName>
    <definedName name="TRNR_a9952f8a3e60411c90ba539edea01edf_1_2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9" i="1" l="1"/>
  <c r="I59" i="1"/>
  <c r="D60" i="1"/>
  <c r="I60" i="1"/>
  <c r="D61" i="1"/>
  <c r="D62" i="1"/>
  <c r="I62" i="1"/>
  <c r="D63" i="1"/>
  <c r="I63" i="1"/>
  <c r="I64" i="1"/>
  <c r="I65" i="1"/>
  <c r="I7" i="3"/>
  <c r="D2" i="3"/>
  <c r="C7" i="3"/>
  <c r="D7" i="3" s="1"/>
  <c r="G11" i="6"/>
  <c r="G10" i="6"/>
  <c r="G9" i="6"/>
  <c r="C9" i="6"/>
  <c r="C8" i="6"/>
  <c r="C7" i="6"/>
  <c r="E4" i="6"/>
  <c r="D46" i="1"/>
  <c r="D47" i="1"/>
  <c r="D48" i="1"/>
  <c r="D66" i="1" s="1"/>
  <c r="D45" i="1"/>
  <c r="D44" i="1"/>
  <c r="D43" i="1"/>
  <c r="D42" i="1"/>
  <c r="D41" i="1"/>
  <c r="G6" i="1"/>
  <c r="G5" i="1"/>
  <c r="G4" i="1"/>
  <c r="G3" i="1"/>
  <c r="F7" i="1"/>
  <c r="F6" i="1"/>
  <c r="F5" i="1"/>
  <c r="F4" i="1"/>
  <c r="F3" i="1"/>
  <c r="G8" i="1" l="1"/>
  <c r="F8" i="1"/>
  <c r="E13" i="5"/>
  <c r="E12" i="5"/>
  <c r="E11" i="5"/>
  <c r="E10" i="5"/>
  <c r="C13" i="5"/>
  <c r="C12" i="5"/>
  <c r="C11" i="5"/>
  <c r="C10" i="5"/>
  <c r="F10" i="1" l="1"/>
  <c r="E14" i="5"/>
  <c r="C14" i="5"/>
  <c r="J68" i="1"/>
  <c r="C68" i="1"/>
  <c r="J50" i="1"/>
  <c r="L41" i="1" s="1"/>
  <c r="C50" i="1"/>
  <c r="A65" i="1" s="1"/>
  <c r="O6" i="3"/>
  <c r="P6" i="3" s="1"/>
  <c r="O5" i="3"/>
  <c r="P5" i="3" s="1"/>
  <c r="O4" i="3"/>
  <c r="P4" i="3" s="1"/>
  <c r="O3" i="3"/>
  <c r="P3" i="3" s="1"/>
  <c r="O2" i="3"/>
  <c r="P2" i="3" s="1"/>
  <c r="J6" i="3"/>
  <c r="J5" i="3"/>
  <c r="J4" i="3"/>
  <c r="J3" i="3"/>
  <c r="J2" i="3"/>
  <c r="I6" i="3"/>
  <c r="I5" i="3"/>
  <c r="I4" i="3"/>
  <c r="I3" i="3"/>
  <c r="I2" i="3"/>
  <c r="E9" i="3"/>
  <c r="E6" i="3"/>
  <c r="E5" i="3"/>
  <c r="E4" i="3"/>
  <c r="E3" i="3"/>
  <c r="E2" i="3"/>
  <c r="E8" i="3" s="1"/>
  <c r="D6" i="3"/>
  <c r="D5" i="3"/>
  <c r="D4" i="3"/>
  <c r="D3" i="3"/>
  <c r="C6" i="3"/>
  <c r="C5" i="3"/>
  <c r="C4" i="3"/>
  <c r="C3" i="3"/>
  <c r="C2" i="3"/>
  <c r="F14" i="1"/>
  <c r="G14" i="1"/>
  <c r="F15" i="1"/>
  <c r="G15" i="1"/>
  <c r="F16" i="1"/>
  <c r="G16" i="1"/>
  <c r="F17" i="1"/>
  <c r="G17" i="1"/>
  <c r="F18" i="1"/>
  <c r="A62" i="1" l="1"/>
  <c r="L62" i="1"/>
  <c r="A44" i="1"/>
  <c r="A45" i="1"/>
  <c r="A66" i="1"/>
  <c r="L42" i="1"/>
  <c r="L43" i="1"/>
  <c r="L44" i="1"/>
  <c r="F19" i="1"/>
  <c r="A46" i="1"/>
  <c r="L65" i="1"/>
  <c r="G19" i="1"/>
  <c r="L45" i="1"/>
  <c r="A42" i="1"/>
  <c r="L61" i="1"/>
  <c r="A47" i="1"/>
  <c r="A59" i="1"/>
  <c r="A63" i="1"/>
  <c r="A48" i="1"/>
  <c r="L46" i="1"/>
  <c r="L59" i="1"/>
  <c r="L63" i="1"/>
  <c r="A41" i="1"/>
  <c r="L47" i="1"/>
  <c r="I50" i="1" s="1"/>
  <c r="G50" i="1" s="1"/>
  <c r="A60" i="1"/>
  <c r="A64" i="1"/>
  <c r="L60" i="1"/>
  <c r="L64" i="1"/>
  <c r="A43" i="1"/>
  <c r="A61" i="1"/>
  <c r="Q2" i="3"/>
  <c r="R2" i="3" s="1"/>
  <c r="Q6" i="3"/>
  <c r="R6" i="3" s="1"/>
  <c r="Q4" i="3"/>
  <c r="R4" i="3" s="1"/>
  <c r="Q3" i="3"/>
  <c r="R3" i="3" s="1"/>
  <c r="Q5" i="3"/>
  <c r="R5" i="3" s="1"/>
  <c r="K6" i="3"/>
  <c r="K5" i="3"/>
  <c r="K4" i="3"/>
  <c r="K3" i="3"/>
  <c r="K9" i="3"/>
  <c r="K2" i="3"/>
  <c r="K8" i="3" s="1"/>
  <c r="G30" i="1"/>
  <c r="G29" i="1"/>
  <c r="G28" i="1"/>
  <c r="G27" i="1"/>
  <c r="G26" i="1"/>
  <c r="G25" i="1"/>
  <c r="G24" i="1"/>
  <c r="F31" i="1"/>
  <c r="F30" i="1"/>
  <c r="F29" i="1"/>
  <c r="F28" i="1"/>
  <c r="F27" i="1"/>
  <c r="F26" i="1"/>
  <c r="F25" i="1"/>
  <c r="F24" i="1"/>
  <c r="F21" i="1" l="1"/>
  <c r="I68" i="1"/>
  <c r="G68" i="1" s="1"/>
  <c r="D50" i="1"/>
  <c r="F50" i="1" s="1"/>
  <c r="A50" i="1"/>
  <c r="A68" i="1"/>
  <c r="D68" i="1"/>
  <c r="F68" i="1" s="1"/>
  <c r="R9" i="3"/>
  <c r="R8" i="3"/>
  <c r="G33" i="1"/>
  <c r="F33" i="1"/>
  <c r="F71" i="1" l="1"/>
  <c r="I72" i="1" s="1"/>
  <c r="F36" i="1"/>
  <c r="I71" i="1" l="1"/>
  <c r="I37" i="1"/>
  <c r="I36" i="1"/>
  <c r="F53" i="1" l="1"/>
  <c r="I54" i="1" l="1"/>
  <c r="I53" i="1"/>
</calcChain>
</file>

<file path=xl/sharedStrings.xml><?xml version="1.0" encoding="utf-8"?>
<sst xmlns="http://schemas.openxmlformats.org/spreadsheetml/2006/main" count="101" uniqueCount="61">
  <si>
    <t>VN</t>
  </si>
  <si>
    <t>1-PF</t>
  </si>
  <si>
    <t>g</t>
  </si>
  <si>
    <t>b</t>
  </si>
  <si>
    <t>prod</t>
  </si>
  <si>
    <t>VM att</t>
  </si>
  <si>
    <t>VM pass</t>
  </si>
  <si>
    <t>DM att</t>
  </si>
  <si>
    <t>DM pass</t>
  </si>
  <si>
    <t>vm*dm</t>
  </si>
  <si>
    <t>Delta VM MP</t>
  </si>
  <si>
    <t>DG</t>
  </si>
  <si>
    <t>Tempo</t>
  </si>
  <si>
    <t>CFi</t>
  </si>
  <si>
    <t>TRES</t>
  </si>
  <si>
    <t>CFi attual</t>
  </si>
  <si>
    <t>% CFi attual</t>
  </si>
  <si>
    <t>Duration</t>
  </si>
  <si>
    <t>MAGAP STADARDIZZATO</t>
  </si>
  <si>
    <t>I METODO (DG)</t>
  </si>
  <si>
    <t>II METODO (DG)</t>
  </si>
  <si>
    <r>
      <rPr>
        <sz val="11"/>
        <color theme="1"/>
        <rFont val="Symbol"/>
        <family val="1"/>
        <charset val="2"/>
      </rPr>
      <t>D</t>
    </r>
    <r>
      <rPr>
        <sz val="11"/>
        <color theme="1"/>
        <rFont val="Calibri"/>
        <family val="2"/>
        <scheme val="minor"/>
      </rPr>
      <t>i</t>
    </r>
  </si>
  <si>
    <t>VM afi tot</t>
  </si>
  <si>
    <t>DM afi TOT</t>
  </si>
  <si>
    <t>% VM afi</t>
  </si>
  <si>
    <t>% VM po</t>
  </si>
  <si>
    <t>VM po tot</t>
  </si>
  <si>
    <t>DM po TOT</t>
  </si>
  <si>
    <t>USO DERIVATI</t>
  </si>
  <si>
    <t>sulla "zero"</t>
  </si>
  <si>
    <t>sulla "yield"</t>
  </si>
  <si>
    <t>tassi zero coupon</t>
  </si>
  <si>
    <t>Scad.</t>
  </si>
  <si>
    <t>flussi att2</t>
  </si>
  <si>
    <t>flussi att1</t>
  </si>
  <si>
    <t>flussi</t>
  </si>
  <si>
    <t>scad</t>
  </si>
  <si>
    <t>r yield</t>
  </si>
  <si>
    <t>t</t>
  </si>
  <si>
    <t>nom</t>
  </si>
  <si>
    <r>
      <t>r</t>
    </r>
    <r>
      <rPr>
        <sz val="8"/>
        <color theme="1"/>
        <rFont val="Calibri"/>
        <family val="2"/>
        <scheme val="minor"/>
      </rPr>
      <t>t</t>
    </r>
  </si>
  <si>
    <r>
      <t>VM</t>
    </r>
    <r>
      <rPr>
        <sz val="9"/>
        <color theme="1"/>
        <rFont val="Calibri"/>
        <family val="2"/>
        <scheme val="minor"/>
      </rPr>
      <t>t</t>
    </r>
  </si>
  <si>
    <r>
      <t>DM</t>
    </r>
    <r>
      <rPr>
        <sz val="8"/>
        <color theme="1"/>
        <rFont val="Calibri"/>
        <family val="2"/>
        <scheme val="minor"/>
      </rPr>
      <t>t</t>
    </r>
  </si>
  <si>
    <r>
      <t>DM</t>
    </r>
    <r>
      <rPr>
        <sz val="8"/>
        <color theme="1"/>
        <rFont val="Calibri"/>
        <family val="2"/>
        <scheme val="minor"/>
      </rPr>
      <t>n</t>
    </r>
  </si>
  <si>
    <r>
      <t>DM</t>
    </r>
    <r>
      <rPr>
        <sz val="8"/>
        <color theme="1"/>
        <rFont val="Calibri"/>
        <family val="2"/>
        <scheme val="minor"/>
      </rPr>
      <t>n+1</t>
    </r>
  </si>
  <si>
    <r>
      <t>VM</t>
    </r>
    <r>
      <rPr>
        <sz val="8"/>
        <color theme="1"/>
        <rFont val="Calibri"/>
        <family val="2"/>
        <scheme val="minor"/>
      </rPr>
      <t>n</t>
    </r>
  </si>
  <si>
    <r>
      <t>VM</t>
    </r>
    <r>
      <rPr>
        <sz val="8"/>
        <color theme="1"/>
        <rFont val="Calibri"/>
        <family val="2"/>
        <scheme val="minor"/>
      </rPr>
      <t>n+1</t>
    </r>
  </si>
  <si>
    <r>
      <t>r</t>
    </r>
    <r>
      <rPr>
        <sz val="8"/>
        <color theme="1"/>
        <rFont val="Calibri"/>
        <family val="2"/>
        <scheme val="minor"/>
      </rPr>
      <t>n</t>
    </r>
  </si>
  <si>
    <r>
      <t>r</t>
    </r>
    <r>
      <rPr>
        <sz val="8"/>
        <color theme="1"/>
        <rFont val="Calibri"/>
        <family val="2"/>
        <scheme val="minor"/>
      </rPr>
      <t>n+1</t>
    </r>
  </si>
  <si>
    <t>MAGAP</t>
  </si>
  <si>
    <t>ASi*(1-PFi)</t>
  </si>
  <si>
    <t>PSj*(1-PFj)</t>
  </si>
  <si>
    <r>
      <t>PS</t>
    </r>
    <r>
      <rPr>
        <sz val="8"/>
        <color theme="1"/>
        <rFont val="Calibri"/>
        <family val="2"/>
        <scheme val="minor"/>
      </rPr>
      <t>j</t>
    </r>
  </si>
  <si>
    <r>
      <t>1-PF</t>
    </r>
    <r>
      <rPr>
        <sz val="8"/>
        <color theme="1"/>
        <rFont val="Calibri"/>
        <family val="2"/>
        <scheme val="minor"/>
      </rPr>
      <t>j</t>
    </r>
  </si>
  <si>
    <r>
      <t>AS</t>
    </r>
    <r>
      <rPr>
        <sz val="8"/>
        <color theme="1"/>
        <rFont val="Calibri"/>
        <family val="2"/>
        <scheme val="minor"/>
      </rPr>
      <t>i</t>
    </r>
  </si>
  <si>
    <r>
      <t>1-PF</t>
    </r>
    <r>
      <rPr>
        <sz val="8"/>
        <color theme="1"/>
        <rFont val="Calibri"/>
        <family val="2"/>
        <scheme val="minor"/>
      </rPr>
      <t>i</t>
    </r>
  </si>
  <si>
    <t>Asset swap</t>
  </si>
  <si>
    <t>Liab Swap</t>
  </si>
  <si>
    <t>FRN 7 anni</t>
  </si>
  <si>
    <t>Curva zero coupon</t>
  </si>
  <si>
    <t>Curva Yield to Maturity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</si>
</sst>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0.000"/>
    <numFmt numFmtId="165" formatCode="#,##0.00_ ;\-#,##0.00\ "/>
    <numFmt numFmtId="166" formatCode="0.0%"/>
    <numFmt numFmtId="167" formatCode="0.000%"/>
  </numFmts>
  <fonts count="14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Symbol"/>
      <family val="1"/>
      <charset val="2"/>
    </font>
    <font>
      <sz val="11"/>
      <color theme="3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1"/>
      <charset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</cellStyleXfs>
  <cellXfs count="7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43" fontId="5" fillId="5" borderId="1" xfId="1" applyFont="1" applyFill="1" applyBorder="1"/>
    <xf numFmtId="0" fontId="0" fillId="5" borderId="0" xfId="0" applyFill="1"/>
    <xf numFmtId="0" fontId="0" fillId="6" borderId="1" xfId="0" applyFill="1" applyBorder="1" applyAlignment="1">
      <alignment horizontal="center"/>
    </xf>
    <xf numFmtId="0" fontId="7" fillId="6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8" fillId="4" borderId="1" xfId="0" quotePrefix="1" applyFont="1" applyFill="1" applyBorder="1" applyAlignment="1">
      <alignment horizontal="center"/>
    </xf>
    <xf numFmtId="0" fontId="0" fillId="4" borderId="0" xfId="0" applyFill="1"/>
    <xf numFmtId="166" fontId="0" fillId="7" borderId="1" xfId="2" applyNumberFormat="1" applyFont="1" applyFill="1" applyBorder="1"/>
    <xf numFmtId="0" fontId="3" fillId="0" borderId="0" xfId="0" applyFont="1" applyAlignment="1">
      <alignment horizontal="center"/>
    </xf>
    <xf numFmtId="9" fontId="0" fillId="4" borderId="0" xfId="0" applyNumberFormat="1" applyFill="1"/>
    <xf numFmtId="2" fontId="0" fillId="0" borderId="0" xfId="0" applyNumberFormat="1" applyAlignment="1">
      <alignment horizontal="center"/>
    </xf>
    <xf numFmtId="10" fontId="0" fillId="0" borderId="0" xfId="2" applyNumberFormat="1" applyFont="1" applyAlignment="1">
      <alignment horizontal="center"/>
    </xf>
    <xf numFmtId="2" fontId="0" fillId="4" borderId="0" xfId="0" applyNumberFormat="1" applyFill="1" applyAlignment="1">
      <alignment horizontal="center"/>
    </xf>
    <xf numFmtId="2" fontId="0" fillId="8" borderId="0" xfId="0" applyNumberFormat="1" applyFill="1" applyAlignment="1">
      <alignment horizontal="center"/>
    </xf>
    <xf numFmtId="0" fontId="9" fillId="4" borderId="1" xfId="0" applyFont="1" applyFill="1" applyBorder="1" applyAlignment="1">
      <alignment horizontal="center"/>
    </xf>
    <xf numFmtId="9" fontId="0" fillId="0" borderId="0" xfId="0" applyNumberFormat="1"/>
    <xf numFmtId="0" fontId="0" fillId="9" borderId="0" xfId="0" applyFill="1"/>
    <xf numFmtId="9" fontId="0" fillId="7" borderId="1" xfId="0" applyNumberFormat="1" applyFill="1" applyBorder="1"/>
    <xf numFmtId="0" fontId="10" fillId="0" borderId="0" xfId="0" applyFont="1" applyAlignment="1">
      <alignment horizontal="center"/>
    </xf>
    <xf numFmtId="2" fontId="9" fillId="4" borderId="1" xfId="0" applyNumberFormat="1" applyFont="1" applyFill="1" applyBorder="1" applyAlignment="1">
      <alignment horizontal="center"/>
    </xf>
    <xf numFmtId="10" fontId="0" fillId="0" borderId="0" xfId="0" applyNumberFormat="1"/>
    <xf numFmtId="0" fontId="0" fillId="6" borderId="0" xfId="0" applyFill="1"/>
    <xf numFmtId="2" fontId="3" fillId="2" borderId="1" xfId="0" applyNumberFormat="1" applyFont="1" applyFill="1" applyBorder="1" applyAlignment="1">
      <alignment horizontal="center"/>
    </xf>
    <xf numFmtId="167" fontId="7" fillId="7" borderId="1" xfId="0" applyNumberFormat="1" applyFont="1" applyFill="1" applyBorder="1" applyAlignment="1">
      <alignment horizontal="center"/>
    </xf>
    <xf numFmtId="0" fontId="7" fillId="7" borderId="1" xfId="0" applyFont="1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7" fillId="7" borderId="1" xfId="0" applyFont="1" applyFill="1" applyBorder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 wrapText="1"/>
    </xf>
    <xf numFmtId="167" fontId="0" fillId="10" borderId="1" xfId="0" applyNumberFormat="1" applyFill="1" applyBorder="1"/>
    <xf numFmtId="0" fontId="0" fillId="10" borderId="1" xfId="0" applyFill="1" applyBorder="1"/>
    <xf numFmtId="0" fontId="3" fillId="10" borderId="1" xfId="0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9" fontId="0" fillId="7" borderId="1" xfId="0" applyNumberFormat="1" applyFill="1" applyBorder="1" applyAlignment="1">
      <alignment horizontal="center"/>
    </xf>
    <xf numFmtId="164" fontId="0" fillId="11" borderId="1" xfId="0" applyNumberFormat="1" applyFill="1" applyBorder="1" applyAlignment="1">
      <alignment horizontal="center"/>
    </xf>
    <xf numFmtId="164" fontId="0" fillId="6" borderId="0" xfId="0" applyNumberFormat="1" applyFill="1"/>
    <xf numFmtId="9" fontId="0" fillId="6" borderId="0" xfId="0" applyNumberFormat="1" applyFill="1"/>
    <xf numFmtId="0" fontId="0" fillId="11" borderId="1" xfId="0" applyFill="1" applyBorder="1"/>
    <xf numFmtId="2" fontId="0" fillId="11" borderId="1" xfId="0" applyNumberFormat="1" applyFill="1" applyBorder="1"/>
    <xf numFmtId="14" fontId="0" fillId="6" borderId="0" xfId="0" applyNumberFormat="1" applyFill="1"/>
    <xf numFmtId="0" fontId="0" fillId="8" borderId="1" xfId="0" applyFill="1" applyBorder="1"/>
    <xf numFmtId="0" fontId="0" fillId="10" borderId="9" xfId="0" applyFill="1" applyBorder="1"/>
    <xf numFmtId="10" fontId="0" fillId="10" borderId="10" xfId="0" applyNumberFormat="1" applyFill="1" applyBorder="1"/>
    <xf numFmtId="0" fontId="0" fillId="10" borderId="11" xfId="0" applyFill="1" applyBorder="1"/>
    <xf numFmtId="10" fontId="0" fillId="10" borderId="12" xfId="0" applyNumberFormat="1" applyFill="1" applyBorder="1"/>
    <xf numFmtId="0" fontId="0" fillId="4" borderId="1" xfId="0" applyFill="1" applyBorder="1" applyAlignment="1">
      <alignment horizontal="center"/>
    </xf>
    <xf numFmtId="0" fontId="7" fillId="4" borderId="1" xfId="0" applyFont="1" applyFill="1" applyBorder="1" applyAlignment="1">
      <alignment horizontal="center"/>
    </xf>
    <xf numFmtId="166" fontId="0" fillId="0" borderId="0" xfId="2" applyNumberFormat="1" applyFont="1"/>
    <xf numFmtId="164" fontId="9" fillId="4" borderId="1" xfId="0" applyNumberFormat="1" applyFont="1" applyFill="1" applyBorder="1" applyAlignment="1">
      <alignment horizontal="center"/>
    </xf>
    <xf numFmtId="164" fontId="0" fillId="7" borderId="1" xfId="0" applyNumberFormat="1" applyFill="1" applyBorder="1"/>
    <xf numFmtId="164" fontId="13" fillId="6" borderId="0" xfId="0" applyNumberFormat="1" applyFont="1" applyFill="1"/>
    <xf numFmtId="2" fontId="0" fillId="12" borderId="0" xfId="0" applyNumberFormat="1" applyFill="1"/>
    <xf numFmtId="0" fontId="3" fillId="6" borderId="0" xfId="0" applyFont="1" applyFill="1"/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165" fontId="3" fillId="4" borderId="4" xfId="1" applyNumberFormat="1" applyFont="1" applyFill="1" applyBorder="1" applyAlignment="1">
      <alignment horizontal="center" vertical="center"/>
    </xf>
    <xf numFmtId="165" fontId="3" fillId="4" borderId="5" xfId="1" applyNumberFormat="1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165" fontId="3" fillId="4" borderId="8" xfId="1" applyNumberFormat="1" applyFont="1" applyFill="1" applyBorder="1" applyAlignment="1">
      <alignment horizontal="center" vertical="center"/>
    </xf>
  </cellXfs>
  <cellStyles count="3">
    <cellStyle name="Migliaia" xfId="1" builtinId="3"/>
    <cellStyle name="Normale" xfId="0" builtinId="0"/>
    <cellStyle name="Percentuale" xfId="2" builtinId="5"/>
  </cellStyles>
  <dxfs count="0"/>
  <tableStyles count="0" defaultTableStyle="TableStyleMedium2" defaultPivotStyle="PivotStyleLight16"/>
  <colors>
    <mruColors>
      <color rgb="FF00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6.png"/><Relationship Id="rId3" Type="http://schemas.openxmlformats.org/officeDocument/2006/relationships/image" Target="../media/image2.png"/><Relationship Id="rId7" Type="http://schemas.openxmlformats.org/officeDocument/2006/relationships/image" Target="../media/image5.png"/><Relationship Id="rId1" Type="http://schemas.openxmlformats.org/officeDocument/2006/relationships/customXml" Target="../ink/ink1.xml"/><Relationship Id="rId6" Type="http://schemas.openxmlformats.org/officeDocument/2006/relationships/image" Target="../media/image4.png"/><Relationship Id="rId5" Type="http://schemas.openxmlformats.org/officeDocument/2006/relationships/image" Target="../media/image3.png"/><Relationship Id="rId4" Type="http://schemas.openxmlformats.org/officeDocument/2006/relationships/customXml" Target="../ink/ink2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95657</xdr:colOff>
      <xdr:row>21</xdr:row>
      <xdr:rowOff>134733</xdr:rowOff>
    </xdr:from>
    <xdr:to>
      <xdr:col>19</xdr:col>
      <xdr:colOff>649328</xdr:colOff>
      <xdr:row>36</xdr:row>
      <xdr:rowOff>170571</xdr:rowOff>
    </xdr:to>
    <xdr:pic>
      <xdr:nvPicPr>
        <xdr:cNvPr id="8" name="Immag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7619" y="4032656"/>
          <a:ext cx="6127017" cy="261491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181199</xdr:colOff>
      <xdr:row>4</xdr:row>
      <xdr:rowOff>21430</xdr:rowOff>
    </xdr:from>
    <xdr:to>
      <xdr:col>9</xdr:col>
      <xdr:colOff>188759</xdr:colOff>
      <xdr:row>4</xdr:row>
      <xdr:rowOff>22870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4" name="Input penna 3">
              <a:extLst>
                <a:ext uri="{FF2B5EF4-FFF2-40B4-BE49-F238E27FC236}">
                  <a16:creationId xmlns:a16="http://schemas.microsoft.com/office/drawing/2014/main" id="{00000000-0008-0000-0200-000004000000}"/>
                </a:ext>
              </a:extLst>
            </xdr14:cNvPr>
            <xdr14:cNvContentPartPr/>
          </xdr14:nvContentPartPr>
          <xdr14:nvPr macro=""/>
          <xdr14:xfrm>
            <a:off x="4209480" y="751680"/>
            <a:ext cx="7560" cy="1440"/>
          </xdr14:xfrm>
        </xdr:contentPart>
      </mc:Choice>
      <mc:Fallback xmlns="">
        <xdr:pic>
          <xdr:nvPicPr>
            <xdr:cNvPr id="4" name="Input penna 3">
              <a:extLst>
                <a:ext uri="{FF2B5EF4-FFF2-40B4-BE49-F238E27FC236}">
                  <a16:creationId xmlns:a16="http://schemas.microsoft.com/office/drawing/2014/main" id="{06511061-F913-DF37-A71D-423783D315F4}"/>
                </a:ext>
              </a:extLst>
            </xdr:cNvPr>
            <xdr:cNvPicPr/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4200840" y="743040"/>
              <a:ext cx="25200" cy="1908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9</xdr:col>
      <xdr:colOff>5639</xdr:colOff>
      <xdr:row>7</xdr:row>
      <xdr:rowOff>180555</xdr:rowOff>
    </xdr:from>
    <xdr:to>
      <xdr:col>9</xdr:col>
      <xdr:colOff>431879</xdr:colOff>
      <xdr:row>8</xdr:row>
      <xdr:rowOff>258420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">
          <xdr14:nvContentPartPr>
            <xdr14:cNvPr id="8" name="Input penna 7">
              <a:extLst>
                <a:ext uri="{FF2B5EF4-FFF2-40B4-BE49-F238E27FC236}">
                  <a16:creationId xmlns:a16="http://schemas.microsoft.com/office/drawing/2014/main" id="{00000000-0008-0000-0200-000008000000}"/>
                </a:ext>
              </a:extLst>
            </xdr14:cNvPr>
            <xdr14:cNvContentPartPr/>
          </xdr14:nvContentPartPr>
          <xdr14:nvPr macro=""/>
          <xdr14:xfrm>
            <a:off x="4031539" y="1469605"/>
            <a:ext cx="426240" cy="262015"/>
          </xdr14:xfrm>
        </xdr:contentPart>
      </mc:Choice>
      <mc:Fallback xmlns="">
        <xdr:pic>
          <xdr:nvPicPr>
            <xdr:cNvPr id="8" name="Input penna 7">
              <a:extLst>
                <a:ext uri="{FF2B5EF4-FFF2-40B4-BE49-F238E27FC236}">
                  <a16:creationId xmlns:a16="http://schemas.microsoft.com/office/drawing/2014/main" id="{F3CAC58C-610C-FE17-145E-C41DF33AD316}"/>
                </a:ext>
              </a:extLst>
            </xdr:cNvPr>
            <xdr:cNvPicPr/>
          </xdr:nvPicPr>
          <xdr:blipFill>
            <a:blip xmlns:r="http://schemas.openxmlformats.org/officeDocument/2006/relationships" r:embed="rId5"/>
            <a:stretch>
              <a:fillRect/>
            </a:stretch>
          </xdr:blipFill>
          <xdr:spPr>
            <a:xfrm>
              <a:off x="4022539" y="1460507"/>
              <a:ext cx="443880" cy="279847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8</xdr:col>
      <xdr:colOff>119944</xdr:colOff>
      <xdr:row>1</xdr:row>
      <xdr:rowOff>82822</xdr:rowOff>
    </xdr:from>
    <xdr:to>
      <xdr:col>12</xdr:col>
      <xdr:colOff>151695</xdr:colOff>
      <xdr:row>25</xdr:row>
      <xdr:rowOff>7561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l="84" r="69066"/>
        <a:stretch/>
      </xdr:blipFill>
      <xdr:spPr>
        <a:xfrm>
          <a:off x="3503587" y="264251"/>
          <a:ext cx="2608037" cy="4424167"/>
        </a:xfrm>
        <a:prstGeom prst="rect">
          <a:avLst/>
        </a:prstGeom>
      </xdr:spPr>
    </xdr:pic>
    <xdr:clientData/>
  </xdr:twoCellAnchor>
  <xdr:twoCellAnchor editAs="oneCell">
    <xdr:from>
      <xdr:col>12</xdr:col>
      <xdr:colOff>369661</xdr:colOff>
      <xdr:row>1</xdr:row>
      <xdr:rowOff>6803</xdr:rowOff>
    </xdr:from>
    <xdr:to>
      <xdr:col>22</xdr:col>
      <xdr:colOff>443872</xdr:colOff>
      <xdr:row>19</xdr:row>
      <xdr:rowOff>172357</xdr:rowOff>
    </xdr:to>
    <xdr:pic>
      <xdr:nvPicPr>
        <xdr:cNvPr id="6" name="Immagin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/>
        <a:srcRect l="51048" t="46114"/>
        <a:stretch/>
      </xdr:blipFill>
      <xdr:spPr>
        <a:xfrm>
          <a:off x="6329590" y="188232"/>
          <a:ext cx="6514925" cy="3576411"/>
        </a:xfrm>
        <a:prstGeom prst="rect">
          <a:avLst/>
        </a:prstGeom>
      </xdr:spPr>
    </xdr:pic>
    <xdr:clientData/>
  </xdr:twoCellAnchor>
  <xdr:twoCellAnchor editAs="oneCell">
    <xdr:from>
      <xdr:col>1</xdr:col>
      <xdr:colOff>184727</xdr:colOff>
      <xdr:row>18</xdr:row>
      <xdr:rowOff>17318</xdr:rowOff>
    </xdr:from>
    <xdr:to>
      <xdr:col>7</xdr:col>
      <xdr:colOff>47336</xdr:colOff>
      <xdr:row>35</xdr:row>
      <xdr:rowOff>128154</xdr:rowOff>
    </xdr:to>
    <xdr:pic>
      <xdr:nvPicPr>
        <xdr:cNvPr id="9" name="Immagine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/>
        <a:srcRect r="61403"/>
        <a:stretch/>
      </xdr:blipFill>
      <xdr:spPr bwMode="auto">
        <a:xfrm>
          <a:off x="646545" y="3486727"/>
          <a:ext cx="2362200" cy="325120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212271</xdr:colOff>
          <xdr:row>0</xdr:row>
          <xdr:rowOff>139700</xdr:rowOff>
        </xdr:from>
        <xdr:to>
          <xdr:col>9</xdr:col>
          <xdr:colOff>47171</xdr:colOff>
          <xdr:row>6</xdr:row>
          <xdr:rowOff>12700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3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3-10-11T07:53:24.461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17 3 13133,'4'-2'17708,"-13"2"-15782,-2 1-1998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3-10-11T07:53:36.051"/>
    </inkml:context>
    <inkml:brush xml:id="br0">
      <inkml:brushProperty name="width" value="0.05" units="cm"/>
      <inkml:brushProperty name="height" value="0.05" units="cm"/>
      <inkml:brushProperty name="color" value="#FFFFFF"/>
    </inkml:brush>
  </inkml:definitions>
  <inkml:trace contextRef="#ctx0" brushRef="#br0">463 18 5557,'21'-10'27207,"-23"10"-27207,0 1 0,0-1 0,0 0 1,1 0-1,-1 0 0,0 0 1,0 0-1,0 0 0,0-1 0,0 1 1,1-1-1,-1 1 0,0-1 0,-2-1 1,-12-2-2,-4 5 1,1 1 0,-1 1 0,1 0 0,0 2 0,0 0 0,0 1 0,1 0 0,0 2 0,-17 10 0,-5-2 0,31-13 0,1 0 0,-1 0 0,1 1 0,0 0 0,1 0 0,-1 1 0,1 0 0,-11 10 0,-12 13 0,18-17 0,0 0 0,-19 25 0,28-31 0,0 0 0,0 0 0,0 0 0,1 0 0,0 0 0,0 0 0,0 1 0,1-1 0,-1 0 0,1 1 0,1 0 0,-1 8 0,2-2 0,0 0 0,1 1 0,6 20 0,-4-20 0,-1 1 0,-1-1 0,2 15 0,0 21 0</inkml:trace>
  <inkml:trace contextRef="#ctx0" brushRef="#br0" timeOffset="2147.13">419 34 12249,'-1'0'378,"0"-1"0,1 1-1,-1 0 1,0-1 0,0 1-1,0 0 1,1 0 0,-1-1 0,0 1-1,0 0 1,0 0 0,1 0 0,-1 0-1,0 0 1,0 0 0,0 0 0,0 0-1,1 0 1,-1 0 0,0 1-1,0-1 1,0 0 0,1 1 0,-1-1-1,0 0 1,0 1 0,-1 0 0,-28 18 1625,15-10-1157,-5-1-912,0 0 1,-1-2-1,0 0 1,-28 4-1,-40 10-48,79-16 88,0-1 0,0 1 1,0 1-1,1 0 0,-1 0 1,-11 10-1,17-11 65,0 0 1,0 0 0,0 0-1,1 0 1,-1 1-1,1 0 1,0 0-1,1 0 1,-1 0-1,1 0 1,0 0-1,0 0 1,1 1 0,-1-1-1,1 1 1,0 7-1,-1 10 201,2 0-1,4 42 1,0-3 95,-4-55-238,-1 1 0,2 0-1,-1-1 1,1 1 0,0-1-1,1 1 1,0-1 0,0 1 0,0-1-1,1 0 1,0 0 0,7 11 0,-4-9 128,0-1 0,0 0 0,1 0 0,0-1 0,0 1 0,0-2 1,1 1-1,1-1 0,10 7 0,4-1-347,0-2-1,37 13 1,-34-13 158,-11-4-97,0-1-1,0 0 1,0-1-1,0-1 0,0 0 1,25 0-1,-25-2-179,-1 0-1,1 1 1,25 6 0,-20-5-169,0 0 1,30-1-1,-3 1 436,-22-3 16,1 0 1,-1-2 0,29-5-1,-13 2 165,81-17-314,-105 17-47,0-1 0,0 0 0,-1-1 1,0-1-1,0 0 0,0-1 0,-1-1 0,-1-1 0,0 0 1,22-21-1,-27 20 108,0 1 0,0-2 0,-1 1 0,8-18 1,1 1 180,-13 22-205,-1 0 0,0 0 0,0-1 0,0 1-1,-1-1 1,0 1 0,1-15 0,-1-3-988,-2-28 1,1-7 960,-1 51 260,0 0 0,0 1 0,0-1 0,-1 0 0,0 1 0,-1-1-1,0 1 1,-1-1 0,1 1 0,-8-15 0,0 2-333,9 16 391,0 1-1,0 0 1,-1 0 0,0 0 0,0 1 0,0-1-1,0 0 1,-1 1 0,0-1 0,1 1 0,-1 0-1,0 0 1,-1 0 0,1 0 0,0 1 0,-1-1-1,1 1 1,-6-2 0,0-1-4,-1 2 0,0-1 0,0 1 0,0 1 0,-1 0 0,1 0 1,-14 0-1,-3 3 338,-43 5 0,63-5-545,-16 0-163,1 0 0,-30-4 1,33 2-171,1 0 0,-1 1 0,0 1-1,-22 3 1,-30 13-6264,23-4-1434,15-3 465</inkml:trace>
</inkml: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7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9"/>
  <sheetViews>
    <sheetView zoomScaleNormal="100" workbookViewId="0"/>
  </sheetViews>
  <sheetFormatPr defaultRowHeight="14.5"/>
  <cols>
    <col min="4" max="4" width="9.26953125" bestFit="1" customWidth="1"/>
  </cols>
  <sheetData>
    <row r="1" spans="1:18">
      <c r="A1" s="17" t="s">
        <v>12</v>
      </c>
      <c r="B1" s="17" t="s">
        <v>13</v>
      </c>
      <c r="C1" t="s">
        <v>15</v>
      </c>
      <c r="D1" t="s">
        <v>16</v>
      </c>
      <c r="G1" s="17" t="s">
        <v>12</v>
      </c>
      <c r="H1" s="17" t="s">
        <v>13</v>
      </c>
      <c r="I1" t="s">
        <v>15</v>
      </c>
      <c r="J1" t="s">
        <v>16</v>
      </c>
      <c r="N1" s="17" t="s">
        <v>12</v>
      </c>
      <c r="O1" s="17" t="s">
        <v>13</v>
      </c>
      <c r="P1" t="s">
        <v>15</v>
      </c>
      <c r="Q1" t="s">
        <v>16</v>
      </c>
    </row>
    <row r="2" spans="1:18">
      <c r="A2">
        <v>1</v>
      </c>
      <c r="B2" s="17">
        <v>5</v>
      </c>
      <c r="C2" s="19">
        <f>B2/(1+$B$8)^A2</f>
        <v>4.8076923076923075</v>
      </c>
      <c r="D2" s="20">
        <f t="shared" ref="D2:D7" si="0">C2/SUM($C$2:$C$6)</f>
        <v>4.6027845186428114E-2</v>
      </c>
      <c r="E2">
        <f>D2*A2</f>
        <v>4.6027845186428114E-2</v>
      </c>
      <c r="G2">
        <v>1</v>
      </c>
      <c r="H2" s="17">
        <v>8</v>
      </c>
      <c r="I2" s="19">
        <f>H2/(1+$H$8)^G2</f>
        <v>7.6923076923076916</v>
      </c>
      <c r="J2" s="20">
        <f>I2/SUM($I$2:$I$6)</f>
        <v>6.5295685321709249E-2</v>
      </c>
      <c r="K2">
        <f>J2*G2</f>
        <v>6.5295685321709249E-2</v>
      </c>
      <c r="N2">
        <v>1</v>
      </c>
      <c r="O2" s="17">
        <f>20+4%*100</f>
        <v>24</v>
      </c>
      <c r="P2" s="19">
        <f>O2/(1+$O$8)^N2</f>
        <v>23.076923076923077</v>
      </c>
      <c r="Q2" s="20">
        <f>P2/SUM($P$2:$P$6)</f>
        <v>0.23076923076923081</v>
      </c>
      <c r="R2">
        <f>Q2*N2</f>
        <v>0.23076923076923081</v>
      </c>
    </row>
    <row r="3" spans="1:18">
      <c r="A3">
        <v>2</v>
      </c>
      <c r="B3" s="17">
        <v>5</v>
      </c>
      <c r="C3" s="19">
        <f>B3/(1+$B$8)^A3</f>
        <v>4.6227810650887573</v>
      </c>
      <c r="D3" s="20">
        <f t="shared" si="0"/>
        <v>4.4257543448488576E-2</v>
      </c>
      <c r="E3">
        <f>D3*A3</f>
        <v>8.8515086896977152E-2</v>
      </c>
      <c r="G3">
        <v>2</v>
      </c>
      <c r="H3" s="17">
        <v>8</v>
      </c>
      <c r="I3" s="19">
        <f>H3/(1+$H$8)^G3</f>
        <v>7.396449704142011</v>
      </c>
      <c r="J3" s="20">
        <f>I3/SUM($I$2:$I$6)</f>
        <v>6.2784312809335815E-2</v>
      </c>
      <c r="K3">
        <f>J3*G3</f>
        <v>0.12556862561867163</v>
      </c>
      <c r="N3">
        <v>2</v>
      </c>
      <c r="O3" s="17">
        <f>20+4%*80</f>
        <v>23.2</v>
      </c>
      <c r="P3" s="19">
        <f t="shared" ref="P3:P6" si="1">O3/(1+$O$8)^N3</f>
        <v>21.449704142011832</v>
      </c>
      <c r="Q3" s="20">
        <f t="shared" ref="Q3:Q6" si="2">P3/SUM($P$2:$P$6)</f>
        <v>0.21449704142011836</v>
      </c>
      <c r="R3">
        <f>Q3*N3</f>
        <v>0.42899408284023671</v>
      </c>
    </row>
    <row r="4" spans="1:18">
      <c r="A4">
        <v>3</v>
      </c>
      <c r="B4" s="17">
        <v>5</v>
      </c>
      <c r="C4" s="19">
        <f>B4/(1+$B$8)^A4</f>
        <v>4.4449817933545743</v>
      </c>
      <c r="D4" s="20">
        <f t="shared" si="0"/>
        <v>4.2555330238931321E-2</v>
      </c>
      <c r="E4">
        <f>D4*A4</f>
        <v>0.12766599071679396</v>
      </c>
      <c r="G4">
        <v>3</v>
      </c>
      <c r="H4" s="17">
        <v>8</v>
      </c>
      <c r="I4" s="19">
        <f>H4/(1+$H$8)^G4</f>
        <v>7.1119708693673189</v>
      </c>
      <c r="J4" s="20">
        <f>I4/SUM($I$2:$I$6)</f>
        <v>6.0369531547438286E-2</v>
      </c>
      <c r="K4">
        <f>J4*G4</f>
        <v>0.18110859464231485</v>
      </c>
      <c r="N4">
        <v>3</v>
      </c>
      <c r="O4" s="17">
        <f>20+4%*60</f>
        <v>22.4</v>
      </c>
      <c r="P4" s="19">
        <f t="shared" si="1"/>
        <v>19.913518434228489</v>
      </c>
      <c r="Q4" s="20">
        <f t="shared" si="2"/>
        <v>0.19913518434228492</v>
      </c>
      <c r="R4">
        <f>Q4*N4</f>
        <v>0.59740555302685472</v>
      </c>
    </row>
    <row r="5" spans="1:18">
      <c r="A5">
        <v>4</v>
      </c>
      <c r="B5" s="17">
        <v>5</v>
      </c>
      <c r="C5" s="19">
        <f>B5/(1+$B$8)^A5</f>
        <v>4.2740209551486288</v>
      </c>
      <c r="D5" s="20">
        <f t="shared" si="0"/>
        <v>4.0918586768203188E-2</v>
      </c>
      <c r="E5">
        <f>D5*A5</f>
        <v>0.16367434707281275</v>
      </c>
      <c r="G5">
        <v>4</v>
      </c>
      <c r="H5" s="17">
        <v>8</v>
      </c>
      <c r="I5" s="19">
        <f>H5/(1+$H$8)^G5</f>
        <v>6.8384335282378057</v>
      </c>
      <c r="J5" s="20">
        <f>I5/SUM($I$2:$I$6)</f>
        <v>5.8047626487921423E-2</v>
      </c>
      <c r="K5">
        <f>J5*G5</f>
        <v>0.23219050595168569</v>
      </c>
      <c r="N5">
        <v>4</v>
      </c>
      <c r="O5" s="17">
        <f>20+4%*40</f>
        <v>21.6</v>
      </c>
      <c r="P5" s="19">
        <f t="shared" si="1"/>
        <v>18.463770526242076</v>
      </c>
      <c r="Q5" s="20">
        <f t="shared" si="2"/>
        <v>0.18463770526242079</v>
      </c>
      <c r="R5">
        <f>Q5*N5</f>
        <v>0.73855082104968317</v>
      </c>
    </row>
    <row r="6" spans="1:18">
      <c r="A6">
        <v>5</v>
      </c>
      <c r="B6" s="17">
        <v>105</v>
      </c>
      <c r="C6" s="19">
        <f>B6/(1+$B$8)^A6</f>
        <v>86.302346209731908</v>
      </c>
      <c r="D6" s="20">
        <f t="shared" si="0"/>
        <v>0.82624069435794878</v>
      </c>
      <c r="E6">
        <f>D6*A6</f>
        <v>4.1312034717897443</v>
      </c>
      <c r="G6">
        <v>5</v>
      </c>
      <c r="H6" s="17">
        <v>108</v>
      </c>
      <c r="I6" s="19">
        <f>H6/(1+$H$8)^G6</f>
        <v>88.768127530009963</v>
      </c>
      <c r="J6" s="20">
        <f>I6/SUM($I$2:$I$6)</f>
        <v>0.75350284383359534</v>
      </c>
      <c r="K6">
        <f>J6*G6</f>
        <v>3.7675142191679765</v>
      </c>
      <c r="N6">
        <v>5</v>
      </c>
      <c r="O6" s="17">
        <f>20+4%*20</f>
        <v>20.8</v>
      </c>
      <c r="P6" s="19">
        <f t="shared" si="1"/>
        <v>17.096083820594512</v>
      </c>
      <c r="Q6" s="20">
        <f t="shared" si="2"/>
        <v>0.17096083820594515</v>
      </c>
      <c r="R6">
        <f>Q6*N6</f>
        <v>0.85480419102972571</v>
      </c>
    </row>
    <row r="7" spans="1:18">
      <c r="C7" s="63">
        <f>SUM(C2:C6)</f>
        <v>104.45182233101617</v>
      </c>
      <c r="D7" s="20">
        <f t="shared" si="0"/>
        <v>1</v>
      </c>
      <c r="I7" s="63">
        <f>SUM(I2:I6)</f>
        <v>117.80728932406478</v>
      </c>
    </row>
    <row r="8" spans="1:18">
      <c r="A8" s="15" t="s">
        <v>14</v>
      </c>
      <c r="B8" s="18">
        <v>0.04</v>
      </c>
      <c r="D8" t="s">
        <v>17</v>
      </c>
      <c r="E8" s="21">
        <f>SUM(E2:E6)</f>
        <v>4.5570867416627561</v>
      </c>
      <c r="G8" s="15" t="s">
        <v>14</v>
      </c>
      <c r="H8" s="18">
        <v>0.04</v>
      </c>
      <c r="J8" t="s">
        <v>17</v>
      </c>
      <c r="K8" s="21">
        <f>SUM(K2:K6)</f>
        <v>4.3716776307023579</v>
      </c>
      <c r="N8" s="15" t="s">
        <v>14</v>
      </c>
      <c r="O8" s="18">
        <v>0.04</v>
      </c>
      <c r="Q8" t="s">
        <v>17</v>
      </c>
      <c r="R8" s="21">
        <f>SUM(R2:R6)</f>
        <v>2.8505238787157312</v>
      </c>
    </row>
    <row r="9" spans="1:18">
      <c r="D9" t="s">
        <v>17</v>
      </c>
      <c r="E9" s="22">
        <f>SUMPRODUCT(A2:A6,D2:D6)</f>
        <v>4.5570867416627561</v>
      </c>
      <c r="J9" t="s">
        <v>17</v>
      </c>
      <c r="K9" s="22">
        <f>SUMPRODUCT(G2:G6,J2:J6)</f>
        <v>4.3716776307023579</v>
      </c>
      <c r="Q9" t="s">
        <v>17</v>
      </c>
      <c r="R9" s="22">
        <f>SUMPRODUCT(N2:N6,Q2:Q6)</f>
        <v>2.8505238787157312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2"/>
  <sheetViews>
    <sheetView topLeftCell="A42" zoomScale="70" zoomScaleNormal="70" workbookViewId="0">
      <selection activeCell="A73" sqref="A73"/>
    </sheetView>
  </sheetViews>
  <sheetFormatPr defaultRowHeight="14.5"/>
  <cols>
    <col min="2" max="2" width="2.81640625" customWidth="1"/>
    <col min="5" max="5" width="5.453125" bestFit="1" customWidth="1"/>
    <col min="6" max="7" width="9.54296875" bestFit="1" customWidth="1"/>
    <col min="8" max="8" width="9.08984375" bestFit="1" customWidth="1"/>
    <col min="9" max="9" width="11.81640625" bestFit="1" customWidth="1"/>
    <col min="11" max="11" width="4.26953125" customWidth="1"/>
    <col min="15" max="16" width="9.54296875" bestFit="1" customWidth="1"/>
    <col min="17" max="17" width="11.81640625" bestFit="1" customWidth="1"/>
    <col min="19" max="24" width="9.54296875" bestFit="1" customWidth="1"/>
  </cols>
  <sheetData>
    <row r="1" spans="3:10">
      <c r="D1" s="69" t="s">
        <v>49</v>
      </c>
      <c r="E1" s="69"/>
      <c r="F1" s="69"/>
      <c r="G1" s="69"/>
      <c r="H1" s="69"/>
      <c r="I1" s="69"/>
    </row>
    <row r="2" spans="3:10">
      <c r="D2" s="2" t="s">
        <v>54</v>
      </c>
      <c r="E2" s="2" t="s">
        <v>55</v>
      </c>
      <c r="F2" s="8" t="s">
        <v>50</v>
      </c>
      <c r="G2" s="8" t="s">
        <v>51</v>
      </c>
      <c r="H2" s="2" t="s">
        <v>53</v>
      </c>
      <c r="I2" s="2" t="s">
        <v>52</v>
      </c>
    </row>
    <row r="3" spans="3:10">
      <c r="D3" s="2">
        <v>200</v>
      </c>
      <c r="E3" s="4">
        <v>0.91700000000000004</v>
      </c>
      <c r="F3" s="7">
        <f>D3*E3</f>
        <v>183.4</v>
      </c>
      <c r="G3" s="7">
        <f>H3*I3</f>
        <v>55.02</v>
      </c>
      <c r="H3" s="2">
        <v>0.91700000000000004</v>
      </c>
      <c r="I3" s="2">
        <v>60</v>
      </c>
    </row>
    <row r="4" spans="3:10">
      <c r="D4" s="2">
        <v>30</v>
      </c>
      <c r="E4" s="2">
        <v>0.75</v>
      </c>
      <c r="F4" s="7">
        <f>D4*E4</f>
        <v>22.5</v>
      </c>
      <c r="G4" s="7">
        <f>H4*I4</f>
        <v>150</v>
      </c>
      <c r="H4" s="2">
        <v>0.75</v>
      </c>
      <c r="I4" s="2">
        <v>200</v>
      </c>
    </row>
    <row r="5" spans="3:10">
      <c r="D5" s="2">
        <v>120</v>
      </c>
      <c r="E5" s="2">
        <v>0.5</v>
      </c>
      <c r="F5" s="7">
        <f>D5*E5</f>
        <v>60</v>
      </c>
      <c r="G5" s="7">
        <f>H5*I5</f>
        <v>40</v>
      </c>
      <c r="H5" s="2">
        <v>0.5</v>
      </c>
      <c r="I5" s="2">
        <v>80</v>
      </c>
    </row>
    <row r="6" spans="3:10">
      <c r="D6" s="2">
        <v>80</v>
      </c>
      <c r="E6" s="2">
        <v>0.58299999999999996</v>
      </c>
      <c r="F6" s="7">
        <f>D6*E6</f>
        <v>46.64</v>
      </c>
      <c r="G6" s="7">
        <f>H6*I6</f>
        <v>0</v>
      </c>
      <c r="H6" s="2">
        <v>0</v>
      </c>
      <c r="I6" s="2">
        <v>160</v>
      </c>
    </row>
    <row r="7" spans="3:10">
      <c r="D7" s="2">
        <v>70</v>
      </c>
      <c r="E7" s="2">
        <v>0</v>
      </c>
      <c r="F7" s="7">
        <f>D7*E7</f>
        <v>0</v>
      </c>
      <c r="G7" s="7"/>
      <c r="H7" s="1"/>
      <c r="I7" s="1"/>
    </row>
    <row r="8" spans="3:10">
      <c r="D8" s="1"/>
      <c r="E8" s="1"/>
      <c r="F8" s="6">
        <f>SUM(F3:F7)</f>
        <v>312.53999999999996</v>
      </c>
      <c r="G8" s="6">
        <f>SUM(G3:G7)</f>
        <v>245.02</v>
      </c>
      <c r="H8" s="1"/>
      <c r="I8" s="1"/>
    </row>
    <row r="10" spans="3:10">
      <c r="F10" s="70">
        <f>F8-G8</f>
        <v>67.519999999999953</v>
      </c>
      <c r="G10" s="70"/>
    </row>
    <row r="12" spans="3:10">
      <c r="C12" s="69" t="s">
        <v>18</v>
      </c>
      <c r="D12" s="69"/>
      <c r="E12" s="69"/>
      <c r="F12" s="69"/>
      <c r="G12" s="69"/>
      <c r="H12" s="69"/>
      <c r="I12" s="69"/>
      <c r="J12" s="69"/>
    </row>
    <row r="13" spans="3:10">
      <c r="C13" s="2" t="s">
        <v>0</v>
      </c>
      <c r="D13" s="2" t="s">
        <v>1</v>
      </c>
      <c r="E13" s="3" t="s">
        <v>3</v>
      </c>
      <c r="F13" s="8" t="s">
        <v>4</v>
      </c>
      <c r="G13" s="8" t="s">
        <v>4</v>
      </c>
      <c r="H13" s="3" t="s">
        <v>2</v>
      </c>
      <c r="I13" s="2" t="s">
        <v>1</v>
      </c>
      <c r="J13" s="2" t="s">
        <v>0</v>
      </c>
    </row>
    <row r="14" spans="3:10">
      <c r="C14" s="2">
        <v>200</v>
      </c>
      <c r="D14" s="4">
        <v>0.91700000000000004</v>
      </c>
      <c r="E14" s="2">
        <v>1.1000000000000001</v>
      </c>
      <c r="F14" s="7">
        <f>C14*D14*E14</f>
        <v>201.74</v>
      </c>
      <c r="G14" s="7">
        <f>H14*I14*J14</f>
        <v>49.518000000000001</v>
      </c>
      <c r="H14" s="5">
        <v>0.9</v>
      </c>
      <c r="I14" s="2">
        <v>0.91700000000000004</v>
      </c>
      <c r="J14" s="2">
        <v>60</v>
      </c>
    </row>
    <row r="15" spans="3:10">
      <c r="C15" s="2">
        <v>30</v>
      </c>
      <c r="D15" s="2">
        <v>0.75</v>
      </c>
      <c r="E15" s="2">
        <v>1.05</v>
      </c>
      <c r="F15" s="7">
        <f>C15*D15*E15</f>
        <v>23.625</v>
      </c>
      <c r="G15" s="7">
        <f>H15*I15*J15</f>
        <v>142.49999999999997</v>
      </c>
      <c r="H15" s="5">
        <v>0.95</v>
      </c>
      <c r="I15" s="2">
        <v>0.75</v>
      </c>
      <c r="J15" s="2">
        <v>200</v>
      </c>
    </row>
    <row r="16" spans="3:10">
      <c r="C16" s="2">
        <v>120</v>
      </c>
      <c r="D16" s="2">
        <v>0.5</v>
      </c>
      <c r="E16" s="2">
        <v>1</v>
      </c>
      <c r="F16" s="7">
        <f>C16*D16*E16</f>
        <v>60</v>
      </c>
      <c r="G16" s="7">
        <f>H16*I16*J16</f>
        <v>40</v>
      </c>
      <c r="H16" s="5">
        <v>1</v>
      </c>
      <c r="I16" s="2">
        <v>0.5</v>
      </c>
      <c r="J16" s="2">
        <v>80</v>
      </c>
    </row>
    <row r="17" spans="1:12">
      <c r="C17" s="2">
        <v>80</v>
      </c>
      <c r="D17" s="2">
        <v>0.58299999999999996</v>
      </c>
      <c r="E17" s="2">
        <v>0.95</v>
      </c>
      <c r="F17" s="7">
        <f>C17*D17*E17</f>
        <v>44.308</v>
      </c>
      <c r="G17" s="7">
        <f>H17*I17*J17</f>
        <v>0</v>
      </c>
      <c r="H17" s="5">
        <v>1</v>
      </c>
      <c r="I17" s="2">
        <v>0</v>
      </c>
      <c r="J17" s="2">
        <v>160</v>
      </c>
    </row>
    <row r="18" spans="1:12">
      <c r="C18" s="2">
        <v>70</v>
      </c>
      <c r="D18" s="2">
        <v>0</v>
      </c>
      <c r="E18" s="2">
        <v>1</v>
      </c>
      <c r="F18" s="7">
        <f>C18*D18*E18</f>
        <v>0</v>
      </c>
      <c r="G18" s="7"/>
      <c r="H18" s="1"/>
      <c r="I18" s="1"/>
      <c r="J18" s="1"/>
    </row>
    <row r="19" spans="1:12">
      <c r="C19" s="1"/>
      <c r="D19" s="1"/>
      <c r="E19" s="1"/>
      <c r="F19" s="6">
        <f>SUM(F14:F18)</f>
        <v>329.673</v>
      </c>
      <c r="G19" s="6">
        <f>SUM(G14:G18)</f>
        <v>232.01799999999997</v>
      </c>
      <c r="H19" s="1"/>
      <c r="I19" s="1"/>
      <c r="J19" s="1"/>
    </row>
    <row r="21" spans="1:12">
      <c r="F21" s="70">
        <f>F19-G19</f>
        <v>97.65500000000003</v>
      </c>
      <c r="G21" s="70"/>
    </row>
    <row r="22" spans="1:12">
      <c r="C22" s="69" t="s">
        <v>19</v>
      </c>
      <c r="D22" s="69"/>
    </row>
    <row r="23" spans="1:12">
      <c r="C23" s="11" t="s">
        <v>5</v>
      </c>
      <c r="D23" s="11" t="s">
        <v>7</v>
      </c>
      <c r="F23" s="8" t="s">
        <v>9</v>
      </c>
      <c r="G23" s="8" t="s">
        <v>9</v>
      </c>
      <c r="I23" s="12" t="s">
        <v>8</v>
      </c>
      <c r="J23" s="12" t="s">
        <v>6</v>
      </c>
    </row>
    <row r="24" spans="1:12">
      <c r="A24" s="59"/>
      <c r="C24" s="11">
        <v>198</v>
      </c>
      <c r="D24" s="11">
        <v>0.08</v>
      </c>
      <c r="F24" s="7">
        <f t="shared" ref="F24:F31" si="0">C24*D24</f>
        <v>15.84</v>
      </c>
      <c r="G24" s="7">
        <f>I24*J24</f>
        <v>4.88</v>
      </c>
      <c r="I24" s="12">
        <v>0.08</v>
      </c>
      <c r="J24" s="12">
        <v>61</v>
      </c>
      <c r="L24" s="59"/>
    </row>
    <row r="25" spans="1:12">
      <c r="A25" s="59"/>
      <c r="C25" s="11">
        <v>28</v>
      </c>
      <c r="D25" s="11">
        <v>0.24</v>
      </c>
      <c r="F25" s="7">
        <f t="shared" si="0"/>
        <v>6.72</v>
      </c>
      <c r="G25" s="7">
        <f>I25*J25</f>
        <v>47.519999999999996</v>
      </c>
      <c r="I25" s="12">
        <v>0.24</v>
      </c>
      <c r="J25" s="12">
        <v>198</v>
      </c>
      <c r="L25" s="59"/>
    </row>
    <row r="26" spans="1:12">
      <c r="A26" s="59"/>
      <c r="C26" s="11">
        <v>115</v>
      </c>
      <c r="D26" s="11">
        <v>0.49</v>
      </c>
      <c r="F26" s="7">
        <f t="shared" si="0"/>
        <v>56.35</v>
      </c>
      <c r="G26" s="7">
        <f>I26*J26</f>
        <v>40.18</v>
      </c>
      <c r="I26" s="14">
        <v>0.49</v>
      </c>
      <c r="J26" s="12">
        <v>82</v>
      </c>
      <c r="L26" s="59"/>
    </row>
    <row r="27" spans="1:12">
      <c r="A27" s="59"/>
      <c r="C27" s="11">
        <v>82</v>
      </c>
      <c r="D27" s="11">
        <v>0.39</v>
      </c>
      <c r="F27" s="7">
        <f t="shared" si="0"/>
        <v>31.98</v>
      </c>
      <c r="G27" s="7">
        <f>J27*I27</f>
        <v>156.80000000000001</v>
      </c>
      <c r="I27" s="12">
        <v>0.98</v>
      </c>
      <c r="J27" s="12">
        <v>160</v>
      </c>
      <c r="L27" s="59"/>
    </row>
    <row r="28" spans="1:12">
      <c r="A28" s="59"/>
      <c r="C28" s="11">
        <v>73</v>
      </c>
      <c r="D28" s="11">
        <v>0.95</v>
      </c>
      <c r="F28" s="7">
        <f t="shared" si="0"/>
        <v>69.349999999999994</v>
      </c>
      <c r="G28" s="7">
        <f>J28*I28</f>
        <v>712</v>
      </c>
      <c r="H28" s="1"/>
      <c r="I28" s="12">
        <v>4</v>
      </c>
      <c r="J28" s="12">
        <v>178</v>
      </c>
      <c r="L28" s="59"/>
    </row>
    <row r="29" spans="1:12">
      <c r="A29" s="59"/>
      <c r="C29" s="11">
        <v>165</v>
      </c>
      <c r="D29" s="13">
        <v>4.2</v>
      </c>
      <c r="F29" s="7">
        <f t="shared" si="0"/>
        <v>693</v>
      </c>
      <c r="G29" s="7">
        <f>J29*I29</f>
        <v>928</v>
      </c>
      <c r="H29" s="1"/>
      <c r="I29" s="12">
        <v>8</v>
      </c>
      <c r="J29" s="12">
        <v>116</v>
      </c>
      <c r="L29" s="59"/>
    </row>
    <row r="30" spans="1:12">
      <c r="A30" s="59"/>
      <c r="C30" s="11">
        <v>210</v>
      </c>
      <c r="D30" s="13">
        <v>8</v>
      </c>
      <c r="F30" s="7">
        <f t="shared" si="0"/>
        <v>1680</v>
      </c>
      <c r="G30" s="7">
        <f>J30*I30</f>
        <v>700</v>
      </c>
      <c r="I30" s="12">
        <v>10</v>
      </c>
      <c r="J30" s="12">
        <v>70</v>
      </c>
      <c r="L30" s="59"/>
    </row>
    <row r="31" spans="1:12">
      <c r="A31" s="59"/>
      <c r="C31" s="11">
        <v>122</v>
      </c>
      <c r="D31" s="11">
        <v>18</v>
      </c>
      <c r="F31" s="7">
        <f t="shared" si="0"/>
        <v>2196</v>
      </c>
    </row>
    <row r="32" spans="1:12" ht="6" customHeight="1">
      <c r="F32" s="71"/>
      <c r="G32" s="65"/>
    </row>
    <row r="33" spans="1:12">
      <c r="F33" s="9">
        <f>SUM(F24:F32)</f>
        <v>4749.24</v>
      </c>
      <c r="G33" s="9">
        <f>SUM(G24:H32)</f>
        <v>2589.38</v>
      </c>
    </row>
    <row r="34" spans="1:12" ht="6" customHeight="1"/>
    <row r="35" spans="1:12" ht="15" thickBot="1">
      <c r="F35" s="66" t="s">
        <v>11</v>
      </c>
      <c r="G35" s="66"/>
      <c r="H35" s="27" t="s">
        <v>21</v>
      </c>
      <c r="I35" t="s">
        <v>10</v>
      </c>
    </row>
    <row r="36" spans="1:12" ht="15" thickBot="1">
      <c r="F36" s="67">
        <f>F33-G33</f>
        <v>2159.8599999999997</v>
      </c>
      <c r="G36" s="72"/>
      <c r="H36" s="26">
        <v>0.01</v>
      </c>
      <c r="I36" s="10">
        <f>-F36*H36</f>
        <v>-21.598599999999998</v>
      </c>
    </row>
    <row r="37" spans="1:12" ht="14.5" customHeight="1">
      <c r="H37" s="26">
        <v>-0.01</v>
      </c>
      <c r="I37" s="25">
        <f>-F36*H37</f>
        <v>21.598599999999998</v>
      </c>
    </row>
    <row r="38" spans="1:12" ht="14.5" customHeight="1">
      <c r="H38" s="24"/>
    </row>
    <row r="39" spans="1:12">
      <c r="C39" s="69" t="s">
        <v>20</v>
      </c>
      <c r="D39" s="69"/>
    </row>
    <row r="40" spans="1:12">
      <c r="A40" t="s">
        <v>24</v>
      </c>
      <c r="C40" s="11" t="s">
        <v>5</v>
      </c>
      <c r="D40" s="11" t="s">
        <v>7</v>
      </c>
      <c r="I40" s="12" t="s">
        <v>8</v>
      </c>
      <c r="J40" s="12" t="s">
        <v>6</v>
      </c>
      <c r="L40" t="s">
        <v>25</v>
      </c>
    </row>
    <row r="41" spans="1:12">
      <c r="A41" s="16">
        <f t="shared" ref="A41:A48" si="1">C41/$C$50</f>
        <v>0.19939577039274925</v>
      </c>
      <c r="C41" s="11">
        <v>198</v>
      </c>
      <c r="D41" s="11">
        <f t="shared" ref="D41:D48" si="2">D24</f>
        <v>0.08</v>
      </c>
      <c r="I41" s="12">
        <v>0.08</v>
      </c>
      <c r="J41" s="12">
        <v>61</v>
      </c>
      <c r="L41" s="16">
        <f t="shared" ref="L41:L47" si="3">J41/$J$50</f>
        <v>7.0520231213872839E-2</v>
      </c>
    </row>
    <row r="42" spans="1:12">
      <c r="A42" s="16">
        <f t="shared" si="1"/>
        <v>2.8197381671701913E-2</v>
      </c>
      <c r="C42" s="11">
        <v>28</v>
      </c>
      <c r="D42" s="11">
        <f t="shared" si="2"/>
        <v>0.24</v>
      </c>
      <c r="I42" s="12">
        <v>0.24</v>
      </c>
      <c r="J42" s="12">
        <v>198</v>
      </c>
      <c r="L42" s="16">
        <f t="shared" si="3"/>
        <v>0.22890173410404624</v>
      </c>
    </row>
    <row r="43" spans="1:12">
      <c r="A43" s="16">
        <f t="shared" si="1"/>
        <v>0.11581067472306143</v>
      </c>
      <c r="C43" s="11">
        <v>115</v>
      </c>
      <c r="D43" s="11">
        <f t="shared" si="2"/>
        <v>0.49</v>
      </c>
      <c r="I43" s="14">
        <v>0.49</v>
      </c>
      <c r="J43" s="12">
        <v>82</v>
      </c>
      <c r="L43" s="16">
        <f t="shared" si="3"/>
        <v>9.4797687861271671E-2</v>
      </c>
    </row>
    <row r="44" spans="1:12">
      <c r="A44" s="16">
        <f t="shared" si="1"/>
        <v>8.2578046324269891E-2</v>
      </c>
      <c r="C44" s="11">
        <v>82</v>
      </c>
      <c r="D44" s="11">
        <f t="shared" si="2"/>
        <v>0.39</v>
      </c>
      <c r="I44" s="12">
        <v>0.98</v>
      </c>
      <c r="J44" s="12">
        <v>160</v>
      </c>
      <c r="L44" s="16">
        <f t="shared" si="3"/>
        <v>0.18497109826589594</v>
      </c>
    </row>
    <row r="45" spans="1:12">
      <c r="A45" s="16">
        <f t="shared" si="1"/>
        <v>7.3514602215508554E-2</v>
      </c>
      <c r="C45" s="11">
        <v>73</v>
      </c>
      <c r="D45" s="11">
        <f t="shared" si="2"/>
        <v>0.95</v>
      </c>
      <c r="H45" s="1"/>
      <c r="I45" s="12">
        <v>4</v>
      </c>
      <c r="J45" s="12">
        <v>178</v>
      </c>
      <c r="L45" s="16">
        <f t="shared" si="3"/>
        <v>0.20578034682080926</v>
      </c>
    </row>
    <row r="46" spans="1:12">
      <c r="A46" s="16">
        <f t="shared" si="1"/>
        <v>0.16616314199395771</v>
      </c>
      <c r="C46" s="11">
        <v>165</v>
      </c>
      <c r="D46" s="13">
        <f t="shared" si="2"/>
        <v>4.2</v>
      </c>
      <c r="H46" s="1"/>
      <c r="I46" s="12">
        <v>8</v>
      </c>
      <c r="J46" s="12">
        <v>116</v>
      </c>
      <c r="L46" s="16">
        <f t="shared" si="3"/>
        <v>0.13410404624277455</v>
      </c>
    </row>
    <row r="47" spans="1:12">
      <c r="A47" s="16">
        <f t="shared" si="1"/>
        <v>0.21148036253776434</v>
      </c>
      <c r="C47" s="11">
        <v>210</v>
      </c>
      <c r="D47" s="13">
        <f t="shared" si="2"/>
        <v>8</v>
      </c>
      <c r="I47" s="12">
        <v>10</v>
      </c>
      <c r="J47" s="12">
        <v>70</v>
      </c>
      <c r="L47" s="16">
        <f t="shared" si="3"/>
        <v>8.0924855491329481E-2</v>
      </c>
    </row>
    <row r="48" spans="1:12">
      <c r="A48" s="16">
        <f t="shared" si="1"/>
        <v>0.1228600201409869</v>
      </c>
      <c r="C48" s="11">
        <v>122</v>
      </c>
      <c r="D48" s="11">
        <f t="shared" si="2"/>
        <v>18</v>
      </c>
    </row>
    <row r="49" spans="1:12">
      <c r="F49" s="65"/>
      <c r="G49" s="65"/>
    </row>
    <row r="50" spans="1:12">
      <c r="A50" s="16">
        <f>SUM(A41:A48)</f>
        <v>1</v>
      </c>
      <c r="C50" s="23">
        <f>SUM(C41:C48)</f>
        <v>993</v>
      </c>
      <c r="D50" s="60">
        <f>SUMPRODUCT(D41:D48,A41:A48)</f>
        <v>4.7827190332326284</v>
      </c>
      <c r="F50" s="9">
        <f>C50*D50</f>
        <v>4749.24</v>
      </c>
      <c r="G50" s="9">
        <f>J50*I50</f>
        <v>2589.3800000000006</v>
      </c>
      <c r="I50" s="60">
        <f>SUMPRODUCT(L41:L47,I41:I47)</f>
        <v>2.9935028901734109</v>
      </c>
      <c r="J50" s="23">
        <f>SUM(J41:J48)</f>
        <v>865</v>
      </c>
    </row>
    <row r="51" spans="1:12">
      <c r="C51" t="s">
        <v>22</v>
      </c>
      <c r="D51" t="s">
        <v>23</v>
      </c>
      <c r="I51" t="s">
        <v>26</v>
      </c>
      <c r="J51" t="s">
        <v>27</v>
      </c>
    </row>
    <row r="52" spans="1:12" ht="15" thickBot="1">
      <c r="F52" s="66" t="s">
        <v>11</v>
      </c>
      <c r="G52" s="66"/>
      <c r="H52" s="27" t="s">
        <v>21</v>
      </c>
      <c r="I52" t="s">
        <v>10</v>
      </c>
    </row>
    <row r="53" spans="1:12" ht="15" thickBot="1">
      <c r="F53" s="67">
        <f>F50-G50</f>
        <v>2159.8599999999992</v>
      </c>
      <c r="G53" s="68"/>
      <c r="H53" s="29">
        <v>0.01</v>
      </c>
      <c r="I53" s="10">
        <f>-F53*H53</f>
        <v>-21.598599999999994</v>
      </c>
    </row>
    <row r="54" spans="1:12">
      <c r="H54" s="29">
        <v>-0.01</v>
      </c>
      <c r="I54" s="10">
        <f>-F53*H54</f>
        <v>21.598599999999994</v>
      </c>
    </row>
    <row r="57" spans="1:12">
      <c r="C57" s="69" t="s">
        <v>28</v>
      </c>
      <c r="D57" s="69"/>
    </row>
    <row r="58" spans="1:12">
      <c r="A58" t="s">
        <v>24</v>
      </c>
      <c r="C58" s="11" t="s">
        <v>5</v>
      </c>
      <c r="D58" s="11" t="s">
        <v>7</v>
      </c>
      <c r="I58" s="12" t="s">
        <v>8</v>
      </c>
      <c r="J58" s="12" t="s">
        <v>6</v>
      </c>
      <c r="L58" t="s">
        <v>25</v>
      </c>
    </row>
    <row r="59" spans="1:12">
      <c r="A59" s="16">
        <f t="shared" ref="A59:A66" si="4">C59/$C$50</f>
        <v>0.19939577039274925</v>
      </c>
      <c r="C59" s="11">
        <v>198</v>
      </c>
      <c r="D59" s="11">
        <f t="shared" ref="D59:D66" si="5">D41</f>
        <v>0.08</v>
      </c>
      <c r="I59" s="12">
        <f t="shared" ref="I59:I65" si="6">I41</f>
        <v>0.08</v>
      </c>
      <c r="J59" s="12">
        <v>61</v>
      </c>
      <c r="L59" s="16">
        <f t="shared" ref="L59:L65" si="7">J59/$J$50</f>
        <v>7.0520231213872839E-2</v>
      </c>
    </row>
    <row r="60" spans="1:12">
      <c r="A60" s="16">
        <f t="shared" si="4"/>
        <v>2.8197381671701913E-2</v>
      </c>
      <c r="C60" s="11">
        <v>28</v>
      </c>
      <c r="D60" s="11">
        <f t="shared" si="5"/>
        <v>0.24</v>
      </c>
      <c r="I60" s="12">
        <f t="shared" si="6"/>
        <v>0.24</v>
      </c>
      <c r="J60" s="12">
        <v>198</v>
      </c>
      <c r="L60" s="16">
        <f t="shared" si="7"/>
        <v>0.22890173410404624</v>
      </c>
    </row>
    <row r="61" spans="1:12">
      <c r="A61" s="16">
        <f t="shared" si="4"/>
        <v>0.11581067472306143</v>
      </c>
      <c r="C61" s="11">
        <v>115</v>
      </c>
      <c r="D61" s="11">
        <f t="shared" si="5"/>
        <v>0.49</v>
      </c>
      <c r="G61" t="s">
        <v>58</v>
      </c>
      <c r="H61" t="s">
        <v>57</v>
      </c>
      <c r="I61" s="58">
        <v>6</v>
      </c>
      <c r="J61" s="12">
        <v>82</v>
      </c>
      <c r="L61" s="16">
        <f t="shared" si="7"/>
        <v>9.4797687861271671E-2</v>
      </c>
    </row>
    <row r="62" spans="1:12">
      <c r="A62" s="16">
        <f t="shared" si="4"/>
        <v>8.2578046324269891E-2</v>
      </c>
      <c r="C62" s="11">
        <v>82</v>
      </c>
      <c r="D62" s="11">
        <f t="shared" si="5"/>
        <v>0.39</v>
      </c>
      <c r="I62" s="12">
        <f t="shared" si="6"/>
        <v>0.98</v>
      </c>
      <c r="J62" s="12">
        <v>160</v>
      </c>
      <c r="L62" s="16">
        <f t="shared" si="7"/>
        <v>0.18497109826589594</v>
      </c>
    </row>
    <row r="63" spans="1:12">
      <c r="A63" s="16">
        <f t="shared" si="4"/>
        <v>7.3514602215508554E-2</v>
      </c>
      <c r="C63" s="11">
        <v>73</v>
      </c>
      <c r="D63" s="11">
        <f t="shared" si="5"/>
        <v>0.95</v>
      </c>
      <c r="H63" s="1"/>
      <c r="I63" s="12">
        <f t="shared" si="6"/>
        <v>4</v>
      </c>
      <c r="J63" s="12">
        <v>178</v>
      </c>
      <c r="L63" s="16">
        <f t="shared" si="7"/>
        <v>0.20578034682080926</v>
      </c>
    </row>
    <row r="64" spans="1:12">
      <c r="A64" s="16">
        <f t="shared" si="4"/>
        <v>0.16616314199395771</v>
      </c>
      <c r="C64" s="11">
        <v>165</v>
      </c>
      <c r="D64" s="57">
        <v>0.48</v>
      </c>
      <c r="E64" t="s">
        <v>56</v>
      </c>
      <c r="H64" s="1"/>
      <c r="I64" s="12">
        <f t="shared" si="6"/>
        <v>8</v>
      </c>
      <c r="J64" s="12">
        <v>116</v>
      </c>
      <c r="L64" s="16">
        <f t="shared" si="7"/>
        <v>0.13410404624277455</v>
      </c>
    </row>
    <row r="65" spans="1:12">
      <c r="A65" s="16">
        <f t="shared" si="4"/>
        <v>0.21148036253776434</v>
      </c>
      <c r="C65" s="11">
        <v>210</v>
      </c>
      <c r="D65" s="57">
        <v>0.49</v>
      </c>
      <c r="E65" t="s">
        <v>56</v>
      </c>
      <c r="I65" s="12">
        <f t="shared" si="6"/>
        <v>10</v>
      </c>
      <c r="J65" s="12">
        <v>70</v>
      </c>
      <c r="L65" s="16">
        <f t="shared" si="7"/>
        <v>8.0924855491329481E-2</v>
      </c>
    </row>
    <row r="66" spans="1:12">
      <c r="A66" s="16">
        <f t="shared" si="4"/>
        <v>0.1228600201409869</v>
      </c>
      <c r="C66" s="11">
        <v>122</v>
      </c>
      <c r="D66" s="11">
        <f t="shared" si="5"/>
        <v>18</v>
      </c>
    </row>
    <row r="67" spans="1:12">
      <c r="F67" s="65"/>
      <c r="G67" s="65"/>
    </row>
    <row r="68" spans="1:12">
      <c r="A68" s="16">
        <f>SUM(A59:A66)</f>
        <v>1</v>
      </c>
      <c r="C68" s="23">
        <f>SUM(C59:C66)</f>
        <v>993</v>
      </c>
      <c r="D68" s="28">
        <f>SUMPRODUCT(D59:D66,A59:A66)</f>
        <v>2.5763746223564952</v>
      </c>
      <c r="F68" s="9">
        <f>C68*D68</f>
        <v>2558.3399999999997</v>
      </c>
      <c r="G68" s="9">
        <f>J68*I68</f>
        <v>3041.2</v>
      </c>
      <c r="I68" s="28">
        <f>SUMPRODUCT(L59:L65,I59:I65)</f>
        <v>3.5158381502890172</v>
      </c>
      <c r="J68" s="23">
        <f>SUM(J59:J66)</f>
        <v>865</v>
      </c>
    </row>
    <row r="69" spans="1:12">
      <c r="C69" t="s">
        <v>22</v>
      </c>
      <c r="D69" t="s">
        <v>23</v>
      </c>
      <c r="I69" t="s">
        <v>26</v>
      </c>
      <c r="J69" t="s">
        <v>27</v>
      </c>
    </row>
    <row r="70" spans="1:12" ht="15" thickBot="1">
      <c r="F70" s="66" t="s">
        <v>11</v>
      </c>
      <c r="G70" s="66"/>
      <c r="H70" s="27" t="s">
        <v>21</v>
      </c>
      <c r="I70" t="s">
        <v>10</v>
      </c>
    </row>
    <row r="71" spans="1:12" ht="15" thickBot="1">
      <c r="F71" s="67">
        <f>F68-G68</f>
        <v>-482.86000000000013</v>
      </c>
      <c r="G71" s="68"/>
      <c r="H71" s="29">
        <v>0.01</v>
      </c>
      <c r="I71" s="10">
        <f>-F71*H71</f>
        <v>4.8286000000000016</v>
      </c>
    </row>
    <row r="72" spans="1:12">
      <c r="H72" s="29">
        <v>-0.01</v>
      </c>
      <c r="I72" s="10">
        <f>-F71*H72</f>
        <v>-4.8286000000000016</v>
      </c>
    </row>
  </sheetData>
  <mergeCells count="16">
    <mergeCell ref="D1:I1"/>
    <mergeCell ref="F10:G10"/>
    <mergeCell ref="F21:G21"/>
    <mergeCell ref="F32:G32"/>
    <mergeCell ref="F36:G36"/>
    <mergeCell ref="F35:G35"/>
    <mergeCell ref="C12:J12"/>
    <mergeCell ref="C22:D22"/>
    <mergeCell ref="F67:G67"/>
    <mergeCell ref="F70:G70"/>
    <mergeCell ref="F71:G71"/>
    <mergeCell ref="C39:D39"/>
    <mergeCell ref="F49:G49"/>
    <mergeCell ref="F52:G52"/>
    <mergeCell ref="F53:G53"/>
    <mergeCell ref="C57:D57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310CE2-31EA-47CC-BC50-CAA1B0D86897}">
  <dimension ref="A1:J18"/>
  <sheetViews>
    <sheetView topLeftCell="A9" zoomScale="110" zoomScaleNormal="110" workbookViewId="0">
      <selection activeCell="A13" sqref="A13"/>
    </sheetView>
  </sheetViews>
  <sheetFormatPr defaultColWidth="9.1796875" defaultRowHeight="14.5"/>
  <cols>
    <col min="1" max="1" width="6.6328125" style="30" customWidth="1"/>
    <col min="2" max="2" width="7.6328125" style="30" customWidth="1"/>
    <col min="3" max="3" width="10.6328125" style="30" bestFit="1" customWidth="1"/>
    <col min="4" max="4" width="2" style="30" customWidth="1"/>
    <col min="5" max="5" width="10.36328125" style="30" bestFit="1" customWidth="1"/>
    <col min="6" max="6" width="0.26953125" style="30" hidden="1" customWidth="1"/>
    <col min="7" max="7" width="5.1796875" style="30" bestFit="1" customWidth="1"/>
    <col min="8" max="8" width="15.453125" style="30" bestFit="1" customWidth="1"/>
    <col min="9" max="16384" width="9.1796875" style="30"/>
  </cols>
  <sheetData>
    <row r="1" spans="1:10">
      <c r="J1" s="64" t="s">
        <v>60</v>
      </c>
    </row>
    <row r="7" spans="1:10">
      <c r="A7" s="41" t="s">
        <v>37</v>
      </c>
      <c r="B7" s="40">
        <v>2.6179999999999998E-2</v>
      </c>
    </row>
    <row r="9" spans="1:10" ht="26.25" customHeight="1">
      <c r="A9" s="39" t="s">
        <v>36</v>
      </c>
      <c r="B9" s="39" t="s">
        <v>35</v>
      </c>
      <c r="C9" s="38" t="s">
        <v>34</v>
      </c>
      <c r="D9" s="37"/>
      <c r="E9" s="38" t="s">
        <v>33</v>
      </c>
      <c r="F9" s="37"/>
      <c r="G9" s="36" t="s">
        <v>32</v>
      </c>
      <c r="H9" s="36" t="s">
        <v>31</v>
      </c>
    </row>
    <row r="10" spans="1:10">
      <c r="A10" s="35">
        <v>1</v>
      </c>
      <c r="B10" s="42">
        <v>4</v>
      </c>
      <c r="C10" s="34">
        <f>B10/(1+$B$7)^A10</f>
        <v>3.8979516264203156</v>
      </c>
      <c r="E10" s="34">
        <f>B10/(1+H10)^G10</f>
        <v>3.9207229813177555</v>
      </c>
      <c r="G10" s="33">
        <v>1</v>
      </c>
      <c r="H10" s="32">
        <v>2.0219999999999998E-2</v>
      </c>
    </row>
    <row r="11" spans="1:10">
      <c r="A11" s="35">
        <v>2</v>
      </c>
      <c r="B11" s="42">
        <v>4</v>
      </c>
      <c r="C11" s="34">
        <f>B11/(1+$B$7)^A11</f>
        <v>3.7985067204781959</v>
      </c>
      <c r="E11" s="34">
        <f>B11/(1+H11)^G11</f>
        <v>3.8292675036553532</v>
      </c>
      <c r="G11" s="33">
        <v>2</v>
      </c>
      <c r="H11" s="32">
        <v>2.205E-2</v>
      </c>
    </row>
    <row r="12" spans="1:10">
      <c r="A12" s="35">
        <v>3</v>
      </c>
      <c r="B12" s="42">
        <v>4</v>
      </c>
      <c r="C12" s="34">
        <f>B12/(1+$B$7)^A12</f>
        <v>3.7015988622641207</v>
      </c>
      <c r="E12" s="34">
        <f>B12/(1+H12)^G12</f>
        <v>3.7258360485780213</v>
      </c>
      <c r="G12" s="33">
        <v>3</v>
      </c>
      <c r="H12" s="32">
        <v>2.3949999999999999E-2</v>
      </c>
    </row>
    <row r="13" spans="1:10">
      <c r="A13" s="35">
        <v>4</v>
      </c>
      <c r="B13" s="42">
        <v>104</v>
      </c>
      <c r="C13" s="34">
        <f>B13/(1+$B$7)^A13</f>
        <v>93.78624648586711</v>
      </c>
      <c r="E13" s="34">
        <f>B13/(1+H13)^G13</f>
        <v>93.855737757015504</v>
      </c>
      <c r="G13" s="33">
        <v>4</v>
      </c>
      <c r="H13" s="32">
        <v>2.5989999999999999E-2</v>
      </c>
    </row>
    <row r="14" spans="1:10">
      <c r="C14" s="31">
        <f>SUM(C10:C13)</f>
        <v>105.18430369502974</v>
      </c>
      <c r="E14" s="31">
        <f>SUM(E10:E13)</f>
        <v>105.33156429056663</v>
      </c>
    </row>
    <row r="15" spans="1:10">
      <c r="C15" s="30" t="s">
        <v>30</v>
      </c>
      <c r="E15" s="30" t="s">
        <v>29</v>
      </c>
    </row>
    <row r="18" spans="3:3">
      <c r="C18" s="64" t="s">
        <v>59</v>
      </c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672C03-2BE2-4196-8955-5064DA50B238}">
  <dimension ref="B3:M12"/>
  <sheetViews>
    <sheetView tabSelected="1" zoomScale="175" zoomScaleNormal="175" workbookViewId="0"/>
  </sheetViews>
  <sheetFormatPr defaultColWidth="9.1796875" defaultRowHeight="14.5"/>
  <cols>
    <col min="1" max="1" width="2.26953125" style="30" customWidth="1"/>
    <col min="2" max="2" width="9.1796875" style="30"/>
    <col min="3" max="3" width="6.1796875" style="30" bestFit="1" customWidth="1"/>
    <col min="4" max="4" width="10.81640625" style="30" bestFit="1" customWidth="1"/>
    <col min="5" max="5" width="9.6328125" style="30" bestFit="1" customWidth="1"/>
    <col min="6" max="6" width="9.1796875" style="30"/>
    <col min="7" max="7" width="10.6328125" style="30" bestFit="1" customWidth="1"/>
    <col min="8" max="8" width="9.1796875" style="30"/>
    <col min="9" max="9" width="6.1796875" style="30" customWidth="1"/>
    <col min="10" max="11" width="9.1796875" style="30"/>
    <col min="12" max="12" width="10.81640625" style="30" bestFit="1" customWidth="1"/>
    <col min="13" max="13" width="9.6328125" style="30" bestFit="1" customWidth="1"/>
    <col min="14" max="16384" width="9.1796875" style="30"/>
  </cols>
  <sheetData>
    <row r="3" spans="2:13">
      <c r="B3" s="43" t="s">
        <v>38</v>
      </c>
      <c r="C3" s="43" t="s">
        <v>39</v>
      </c>
      <c r="D3" s="43" t="s">
        <v>40</v>
      </c>
      <c r="E3" s="44" t="s">
        <v>41</v>
      </c>
    </row>
    <row r="4" spans="2:13">
      <c r="B4" s="43">
        <v>2.4</v>
      </c>
      <c r="C4" s="43">
        <v>104</v>
      </c>
      <c r="D4" s="45">
        <v>0.03</v>
      </c>
      <c r="E4" s="46">
        <f>C4/(1+3%)^B4</f>
        <v>96.877740253545355</v>
      </c>
      <c r="L4" s="47"/>
      <c r="M4" s="47"/>
    </row>
    <row r="5" spans="2:13">
      <c r="C5" s="48"/>
      <c r="L5" s="47"/>
      <c r="M5" s="47"/>
    </row>
    <row r="6" spans="2:13">
      <c r="L6" s="47"/>
      <c r="M6" s="47"/>
    </row>
    <row r="7" spans="2:13">
      <c r="B7" s="49" t="s">
        <v>42</v>
      </c>
      <c r="C7" s="50">
        <f>B4/(1+D4)</f>
        <v>2.3300970873786406</v>
      </c>
      <c r="D7" s="51"/>
      <c r="M7" s="47"/>
    </row>
    <row r="8" spans="2:13">
      <c r="B8" s="49" t="s">
        <v>43</v>
      </c>
      <c r="C8" s="50">
        <f>2/(1+C11)</f>
        <v>1.9512195121951221</v>
      </c>
      <c r="D8" s="51"/>
    </row>
    <row r="9" spans="2:13">
      <c r="B9" s="49" t="s">
        <v>44</v>
      </c>
      <c r="C9" s="50">
        <f>3/(1+C12)</f>
        <v>2.9075402209730568</v>
      </c>
      <c r="F9" s="52" t="s">
        <v>45</v>
      </c>
      <c r="G9" s="61">
        <f>E4*((C7-C9)/(C8-C9))</f>
        <v>58.49647026784524</v>
      </c>
    </row>
    <row r="10" spans="2:13">
      <c r="F10" s="52" t="s">
        <v>46</v>
      </c>
      <c r="G10" s="61">
        <f>E4*((C8-C7)/(C8-C9))</f>
        <v>38.381269985700122</v>
      </c>
      <c r="H10" s="47"/>
    </row>
    <row r="11" spans="2:13">
      <c r="B11" s="53" t="s">
        <v>47</v>
      </c>
      <c r="C11" s="54">
        <v>2.5000000000000001E-2</v>
      </c>
      <c r="G11" s="62">
        <f>G9+G10</f>
        <v>96.877740253545369</v>
      </c>
    </row>
    <row r="12" spans="2:13">
      <c r="B12" s="55" t="s">
        <v>48</v>
      </c>
      <c r="C12" s="56">
        <v>3.1800000000000002E-2</v>
      </c>
      <c r="G12" s="47"/>
    </row>
  </sheetData>
  <pageMargins left="0.7" right="0.7" top="0.75" bottom="0.75" header="0.3" footer="0.3"/>
  <pageSetup paperSize="9" orientation="portrait" verticalDpi="90" r:id="rId1"/>
  <drawing r:id="rId2"/>
  <legacyDrawing r:id="rId3"/>
  <oleObjects>
    <mc:AlternateContent xmlns:mc="http://schemas.openxmlformats.org/markup-compatibility/2006">
      <mc:Choice Requires="x14">
        <oleObject progId="Equation.3" shapeId="3073" r:id="rId4">
          <objectPr defaultSize="0" autoPict="0" r:id="rId5">
            <anchor moveWithCells="1" sizeWithCells="1">
              <from>
                <xdr:col>5</xdr:col>
                <xdr:colOff>209550</xdr:colOff>
                <xdr:row>0</xdr:row>
                <xdr:rowOff>139700</xdr:rowOff>
              </from>
              <to>
                <xdr:col>9</xdr:col>
                <xdr:colOff>44450</xdr:colOff>
                <xdr:row>6</xdr:row>
                <xdr:rowOff>12700</xdr:rowOff>
              </to>
            </anchor>
          </objectPr>
        </oleObject>
      </mc:Choice>
      <mc:Fallback>
        <oleObject progId="Equation.3" shapeId="3073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Calcolo Duration</vt:lpstr>
      <vt:lpstr>MAGATst + DG</vt:lpstr>
      <vt:lpstr>Pricing Bond</vt:lpstr>
      <vt:lpstr>Clumping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ugo</dc:creator>
  <cp:lastModifiedBy>Ugo Pomante</cp:lastModifiedBy>
  <dcterms:created xsi:type="dcterms:W3CDTF">2018-09-24T07:15:33Z</dcterms:created>
  <dcterms:modified xsi:type="dcterms:W3CDTF">2025-10-07T08:54:42Z</dcterms:modified>
</cp:coreProperties>
</file>